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DB Office\SECRET\2025\מדיניות\"/>
    </mc:Choice>
  </mc:AlternateContent>
  <bookViews>
    <workbookView xWindow="0" yWindow="0" windowWidth="12210" windowHeight="4065"/>
  </bookViews>
  <sheets>
    <sheet name="2025" sheetId="15" r:id="rId1"/>
    <sheet name="רכיבים 2025" sheetId="2" r:id="rId2"/>
    <sheet name="גיליון3" sheetId="3" r:id="rId3"/>
    <sheet name="גיליון4" sheetId="4" r:id="rId4"/>
    <sheet name="גיליון5" sheetId="5" r:id="rId5"/>
    <sheet name="גיליון6" sheetId="6" r:id="rId6"/>
    <sheet name="גיליון7" sheetId="7" r:id="rId7"/>
    <sheet name="גיליון8" sheetId="8" r:id="rId8"/>
    <sheet name="גיליון9" sheetId="9" r:id="rId9"/>
    <sheet name="גיליון10" sheetId="10" r:id="rId10"/>
    <sheet name="גיליון11" sheetId="11" r:id="rId11"/>
    <sheet name="גיליון12" sheetId="12" r:id="rId12"/>
    <sheet name="גיליון13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5" l="1"/>
  <c r="C10" i="15"/>
  <c r="D11" i="15"/>
  <c r="D12" i="15"/>
  <c r="K14" i="15" l="1"/>
  <c r="K10" i="15"/>
  <c r="L6" i="2" l="1"/>
  <c r="L5" i="2"/>
  <c r="L4" i="2"/>
  <c r="J5" i="2"/>
  <c r="J4" i="2"/>
  <c r="M10" i="2"/>
  <c r="L10" i="2"/>
  <c r="K10" i="2"/>
  <c r="J10" i="2"/>
  <c r="F4" i="2"/>
  <c r="F6" i="2"/>
  <c r="K19" i="15"/>
  <c r="K16" i="15"/>
  <c r="K13" i="15"/>
  <c r="F5" i="2" l="1"/>
  <c r="D36" i="15" l="1"/>
  <c r="K11" i="15"/>
  <c r="C29" i="15" l="1"/>
  <c r="K20" i="15" l="1"/>
  <c r="K21" i="15" s="1"/>
  <c r="K17" i="15"/>
  <c r="K18" i="15" s="1"/>
  <c r="K12" i="15"/>
  <c r="M26" i="15" s="1"/>
  <c r="Q26" i="15" s="1"/>
  <c r="D33" i="15" s="1"/>
  <c r="D51" i="15"/>
  <c r="C47" i="15"/>
  <c r="M22" i="15"/>
  <c r="L22" i="15"/>
  <c r="C22" i="15"/>
  <c r="C27" i="15" s="1"/>
  <c r="D21" i="15"/>
  <c r="D20" i="15"/>
  <c r="D19" i="15"/>
  <c r="D18" i="15"/>
  <c r="D17" i="15"/>
  <c r="D16" i="15"/>
  <c r="D15" i="15"/>
  <c r="D14" i="15"/>
  <c r="D13" i="15"/>
  <c r="E10" i="15"/>
  <c r="E11" i="15" s="1"/>
  <c r="E12" i="15" s="1"/>
  <c r="D10" i="15"/>
  <c r="F10" i="15" s="1"/>
  <c r="D29" i="15" l="1"/>
  <c r="H29" i="15" s="1"/>
  <c r="K15" i="15"/>
  <c r="M27" i="15" s="1"/>
  <c r="G10" i="15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E13" i="15"/>
  <c r="D22" i="15"/>
  <c r="D27" i="15" s="1"/>
  <c r="P26" i="15"/>
  <c r="D32" i="15" s="1"/>
  <c r="H10" i="15" l="1"/>
  <c r="S9" i="15"/>
  <c r="G11" i="15"/>
  <c r="K22" i="15"/>
  <c r="C10" i="2" s="1"/>
  <c r="P27" i="15"/>
  <c r="D34" i="15" s="1"/>
  <c r="Q27" i="15"/>
  <c r="D35" i="15" s="1"/>
  <c r="D28" i="15"/>
  <c r="H27" i="15"/>
  <c r="C12" i="2"/>
  <c r="I12" i="2"/>
  <c r="G6" i="2"/>
  <c r="G4" i="2"/>
  <c r="G5" i="2"/>
  <c r="G27" i="15"/>
  <c r="E27" i="15"/>
  <c r="G29" i="15"/>
  <c r="G28" i="15" s="1"/>
  <c r="E29" i="15"/>
  <c r="F27" i="15"/>
  <c r="G12" i="15"/>
  <c r="E14" i="15"/>
  <c r="G13" i="15"/>
  <c r="D47" i="15"/>
  <c r="H12" i="15" l="1"/>
  <c r="S11" i="15"/>
  <c r="H11" i="15"/>
  <c r="S10" i="15"/>
  <c r="H13" i="15"/>
  <c r="S12" i="15"/>
  <c r="I5" i="2"/>
  <c r="K5" i="2"/>
  <c r="I4" i="2"/>
  <c r="K4" i="2"/>
  <c r="M4" i="2" s="1"/>
  <c r="I6" i="2"/>
  <c r="M6" i="2"/>
  <c r="M12" i="2"/>
  <c r="J12" i="2"/>
  <c r="L12" i="2"/>
  <c r="K12" i="2"/>
  <c r="F29" i="15"/>
  <c r="F28" i="15" s="1"/>
  <c r="F47" i="15"/>
  <c r="E47" i="15"/>
  <c r="G14" i="15"/>
  <c r="E15" i="15"/>
  <c r="H14" i="15" l="1"/>
  <c r="S13" i="15"/>
  <c r="K7" i="2"/>
  <c r="K8" i="2" s="1"/>
  <c r="I7" i="2"/>
  <c r="I13" i="2" s="1"/>
  <c r="I15" i="2" s="1"/>
  <c r="M5" i="2"/>
  <c r="G15" i="15"/>
  <c r="E16" i="15"/>
  <c r="I14" i="2" l="1"/>
  <c r="K14" i="2" s="1"/>
  <c r="K13" i="2" s="1"/>
  <c r="H15" i="15"/>
  <c r="S14" i="15"/>
  <c r="M7" i="2"/>
  <c r="G16" i="15"/>
  <c r="E17" i="15"/>
  <c r="J14" i="2" l="1"/>
  <c r="J13" i="2" s="1"/>
  <c r="M14" i="2"/>
  <c r="M13" i="2" s="1"/>
  <c r="L14" i="2"/>
  <c r="L13" i="2" s="1"/>
  <c r="H16" i="15"/>
  <c r="S15" i="15"/>
  <c r="M8" i="2"/>
  <c r="N4" i="2"/>
  <c r="N6" i="2"/>
  <c r="J15" i="2"/>
  <c r="J17" i="2"/>
  <c r="J16" i="2"/>
  <c r="M15" i="2"/>
  <c r="M17" i="2"/>
  <c r="M16" i="2"/>
  <c r="L15" i="2"/>
  <c r="L16" i="2"/>
  <c r="L17" i="2"/>
  <c r="K15" i="2"/>
  <c r="K17" i="2"/>
  <c r="K16" i="2"/>
  <c r="N5" i="2"/>
  <c r="E18" i="15"/>
  <c r="G17" i="15"/>
  <c r="H17" i="15" l="1"/>
  <c r="S16" i="15"/>
  <c r="N7" i="2"/>
  <c r="G18" i="15"/>
  <c r="E19" i="15"/>
  <c r="H18" i="15" l="1"/>
  <c r="S17" i="15"/>
  <c r="E20" i="15"/>
  <c r="G19" i="15"/>
  <c r="S18" i="15" s="1"/>
  <c r="H19" i="15" l="1"/>
  <c r="E21" i="15"/>
  <c r="G21" i="15" s="1"/>
  <c r="G20" i="15"/>
  <c r="S20" i="15" l="1"/>
  <c r="H20" i="15"/>
  <c r="S19" i="15"/>
  <c r="H21" i="15"/>
  <c r="C28" i="15"/>
  <c r="C36" i="15" l="1"/>
  <c r="E36" i="15" s="1"/>
  <c r="H28" i="15"/>
  <c r="D46" i="15"/>
  <c r="C46" i="15"/>
  <c r="E46" i="15" l="1"/>
  <c r="C51" i="15" s="1"/>
  <c r="E51" i="15" s="1"/>
  <c r="C34" i="15"/>
  <c r="E34" i="15" s="1"/>
  <c r="E28" i="15"/>
  <c r="F46" i="15"/>
  <c r="C50" i="15" s="1"/>
  <c r="E50" i="15" s="1"/>
  <c r="E52" i="15" l="1"/>
  <c r="C35" i="15"/>
  <c r="E35" i="15" s="1"/>
  <c r="C32" i="15" l="1"/>
  <c r="C33" i="15"/>
  <c r="E33" i="15" s="1"/>
  <c r="C37" i="15" l="1"/>
  <c r="E32" i="15"/>
  <c r="E37" i="15" s="1"/>
  <c r="E53" i="15" s="1"/>
  <c r="C41" i="15" l="1"/>
  <c r="D41" i="15" s="1"/>
  <c r="C40" i="15"/>
  <c r="D40" i="15" s="1"/>
</calcChain>
</file>

<file path=xl/sharedStrings.xml><?xml version="1.0" encoding="utf-8"?>
<sst xmlns="http://schemas.openxmlformats.org/spreadsheetml/2006/main" count="132" uniqueCount="101">
  <si>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</si>
  <si>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</si>
  <si>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</si>
  <si>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</si>
  <si>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</si>
  <si>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</si>
  <si>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</si>
  <si>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</si>
  <si>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</si>
  <si>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</si>
  <si>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</si>
  <si>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</si>
  <si>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ייצור</t>
  </si>
  <si>
    <t>מכסה</t>
  </si>
  <si>
    <t>ייצור מצטבר</t>
  </si>
  <si>
    <t>מכסה מצטברת</t>
  </si>
  <si>
    <t>חריגה</t>
  </si>
  <si>
    <t>רפת</t>
  </si>
  <si>
    <t>מחלבה</t>
  </si>
  <si>
    <t>פלונית</t>
  </si>
  <si>
    <t>אזור</t>
  </si>
  <si>
    <t>רגיל=1 עמקים חמים= 0</t>
  </si>
  <si>
    <t>ליטר</t>
  </si>
  <si>
    <t>רגיל</t>
  </si>
  <si>
    <t>עמקים חמים</t>
  </si>
  <si>
    <t>סך הכל</t>
  </si>
  <si>
    <t>קיץ</t>
  </si>
  <si>
    <t>קיץ (5-10)</t>
  </si>
  <si>
    <t>חלב עודף</t>
  </si>
  <si>
    <t>עודף עד 3%</t>
  </si>
  <si>
    <t>עודף מעל 3%</t>
  </si>
  <si>
    <t>מחיר מטרה</t>
  </si>
  <si>
    <t>קיץ 5-10</t>
  </si>
  <si>
    <t>א'</t>
  </si>
  <si>
    <t>ב'</t>
  </si>
  <si>
    <t>הפחתות</t>
  </si>
  <si>
    <t>חורף א'</t>
  </si>
  <si>
    <t>חורף ב'</t>
  </si>
  <si>
    <t>חורף מיוחד</t>
  </si>
  <si>
    <t>קיץ א'</t>
  </si>
  <si>
    <t>קיץ ב'</t>
  </si>
  <si>
    <t>ליטרים</t>
  </si>
  <si>
    <t>תעריף לליטר</t>
  </si>
  <si>
    <t>סך קנסות - ש"ח</t>
  </si>
  <si>
    <t>חריגה ב-%</t>
  </si>
  <si>
    <t>חודש</t>
  </si>
  <si>
    <t>חורף</t>
  </si>
  <si>
    <t>עודף</t>
  </si>
  <si>
    <t>תת ביצוע</t>
  </si>
  <si>
    <t>העברה לקיץ</t>
  </si>
  <si>
    <t>העברה לחורף</t>
  </si>
  <si>
    <t>תעריף פרס קנס</t>
  </si>
  <si>
    <t>פרסים פחות קנסות</t>
  </si>
  <si>
    <t>סך קנסות כולל העברת חלב</t>
  </si>
  <si>
    <t>נתוני ייצור</t>
  </si>
  <si>
    <t>קנס ממוצע</t>
  </si>
  <si>
    <t>לליטר עודף</t>
  </si>
  <si>
    <t>ש"ח לליטר</t>
  </si>
  <si>
    <t>סך תמריץ - ש"ח</t>
  </si>
  <si>
    <t>חישוב קנסות על חלב עודף</t>
  </si>
  <si>
    <t>לליטר מיוצר</t>
  </si>
  <si>
    <t>ליטרים - עודף</t>
  </si>
  <si>
    <t>אלמונית</t>
  </si>
  <si>
    <t>שנתי (1-12)</t>
  </si>
  <si>
    <t>חורף (1-4,11-12)</t>
  </si>
  <si>
    <t xml:space="preserve">חורף 1-4 11-12    </t>
  </si>
  <si>
    <t>עונה מיוחדת</t>
  </si>
  <si>
    <t>1-4</t>
  </si>
  <si>
    <t>הפחתה מיוחדת</t>
  </si>
  <si>
    <t>סף להפחתה מיוחדת</t>
  </si>
  <si>
    <t>חישוב תמריצים על העברה בין עונות</t>
  </si>
  <si>
    <t>מחיר מטרה בשער המשק</t>
  </si>
  <si>
    <t>אג' לליטר</t>
  </si>
  <si>
    <t>הטל מיצרנים</t>
  </si>
  <si>
    <t xml:space="preserve">סך מחיר מטרה </t>
  </si>
  <si>
    <t>יחס תמחירי</t>
  </si>
  <si>
    <t>שומן</t>
  </si>
  <si>
    <t>חלבון</t>
  </si>
  <si>
    <t>נורמטיבי</t>
  </si>
  <si>
    <t>נוזלים</t>
  </si>
  <si>
    <t>רכיב</t>
  </si>
  <si>
    <t>ערך רכיב</t>
  </si>
  <si>
    <t>מחיר רכיב</t>
  </si>
  <si>
    <t>רכיב בפועל</t>
  </si>
  <si>
    <t>תמורה בפועל</t>
  </si>
  <si>
    <t>תוספת לרכיבים</t>
  </si>
  <si>
    <t>מחיר אפקטיבי</t>
  </si>
  <si>
    <t>חלב במכסה</t>
  </si>
  <si>
    <t>מחיר לנורמה</t>
  </si>
  <si>
    <t>א' חורף</t>
  </si>
  <si>
    <t>ב' חורף</t>
  </si>
  <si>
    <t>א' קיץ</t>
  </si>
  <si>
    <t>ב' קיץ</t>
  </si>
  <si>
    <t>מחיר מופחת</t>
  </si>
  <si>
    <t>מחיר מופחת ביחס לנורמה</t>
  </si>
  <si>
    <t>עודף רכיב</t>
  </si>
  <si>
    <t>פרס/קנס</t>
  </si>
  <si>
    <t>משקל הרכיב במחיר</t>
  </si>
  <si>
    <t>מחשבון חלב עודף והעברת חלב בין עונות</t>
  </si>
  <si>
    <t>מכסת 2025</t>
  </si>
  <si>
    <t>תזרים החלב העודף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</si>
</sst>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00%"/>
    <numFmt numFmtId="167" formatCode="_ * #,##0.0000_ ;_ * \-#,##0.0000_ ;_ * &quot;-&quot;??_ ;_ @_ "/>
    <numFmt numFmtId="168" formatCode="0.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</font>
    <font>
      <b/>
      <sz val="10"/>
      <name val="David"/>
      <family val="2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rgb="FFFF0000"/>
      <name val="Arial"/>
      <family val="2"/>
      <charset val="177"/>
      <scheme val="minor"/>
    </font>
    <font>
      <b/>
      <sz val="11"/>
      <color rgb="FFFF0000"/>
      <name val="Arial"/>
      <family val="2"/>
      <charset val="177"/>
      <scheme val="minor"/>
    </font>
    <font>
      <b/>
      <sz val="11"/>
      <color rgb="FF00B0F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3" applyFont="1" applyProtection="1"/>
    <xf numFmtId="0" fontId="0" fillId="0" borderId="1" xfId="0" applyBorder="1"/>
    <xf numFmtId="43" fontId="0" fillId="0" borderId="0" xfId="0" applyNumberFormat="1"/>
    <xf numFmtId="9" fontId="0" fillId="0" borderId="0" xfId="0" applyNumberFormat="1"/>
    <xf numFmtId="9" fontId="0" fillId="0" borderId="0" xfId="2" applyFont="1"/>
    <xf numFmtId="43" fontId="8" fillId="0" borderId="1" xfId="1" applyNumberFormat="1" applyFont="1" applyBorder="1"/>
    <xf numFmtId="10" fontId="0" fillId="0" borderId="0" xfId="0" applyNumberFormat="1"/>
    <xf numFmtId="10" fontId="8" fillId="0" borderId="0" xfId="0" applyNumberFormat="1" applyFont="1"/>
    <xf numFmtId="0" fontId="0" fillId="0" borderId="2" xfId="0" applyFill="1" applyBorder="1"/>
    <xf numFmtId="10" fontId="7" fillId="3" borderId="2" xfId="0" applyNumberFormat="1" applyFont="1" applyFill="1" applyBorder="1"/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165" fontId="0" fillId="0" borderId="6" xfId="1" applyNumberFormat="1" applyFon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9" fontId="0" fillId="0" borderId="7" xfId="2" applyFont="1" applyBorder="1" applyProtection="1">
      <protection locked="0"/>
    </xf>
    <xf numFmtId="165" fontId="0" fillId="0" borderId="1" xfId="1" applyNumberFormat="1" applyFon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9" fontId="0" fillId="0" borderId="9" xfId="2" applyFont="1" applyBorder="1" applyProtection="1">
      <protection locked="0"/>
    </xf>
    <xf numFmtId="165" fontId="5" fillId="0" borderId="11" xfId="1" applyNumberFormat="1" applyFont="1" applyBorder="1" applyAlignment="1" applyProtection="1">
      <alignment horizontal="center"/>
      <protection locked="0"/>
    </xf>
    <xf numFmtId="165" fontId="5" fillId="0" borderId="11" xfId="0" applyNumberFormat="1" applyFont="1" applyBorder="1" applyAlignment="1" applyProtection="1">
      <alignment horizontal="center"/>
      <protection locked="0"/>
    </xf>
    <xf numFmtId="9" fontId="5" fillId="0" borderId="12" xfId="2" applyFont="1" applyBorder="1" applyProtection="1">
      <protection locked="0"/>
    </xf>
    <xf numFmtId="9" fontId="5" fillId="5" borderId="12" xfId="2" applyFont="1" applyFill="1" applyBorder="1" applyProtection="1">
      <protection locked="0"/>
    </xf>
    <xf numFmtId="165" fontId="5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65" fontId="0" fillId="4" borderId="0" xfId="1" applyNumberFormat="1" applyFont="1" applyFill="1" applyAlignment="1" applyProtection="1"/>
    <xf numFmtId="0" fontId="5" fillId="0" borderId="3" xfId="0" applyFont="1" applyBorder="1" applyAlignment="1" applyProtection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10" fontId="0" fillId="0" borderId="1" xfId="2" applyNumberFormat="1" applyFont="1" applyBorder="1" applyProtection="1">
      <protection locked="0"/>
    </xf>
    <xf numFmtId="165" fontId="0" fillId="0" borderId="0" xfId="0" applyNumberFormat="1" applyProtection="1">
      <protection locked="0"/>
    </xf>
    <xf numFmtId="165" fontId="5" fillId="0" borderId="1" xfId="0" applyNumberFormat="1" applyFont="1" applyBorder="1" applyAlignment="1" applyProtection="1">
      <alignment horizontal="center"/>
      <protection locked="0"/>
    </xf>
    <xf numFmtId="166" fontId="0" fillId="0" borderId="0" xfId="2" applyNumberFormat="1" applyFont="1" applyAlignment="1" applyProtection="1">
      <alignment horizontal="center"/>
      <protection locked="0"/>
    </xf>
    <xf numFmtId="43" fontId="0" fillId="0" borderId="1" xfId="0" applyNumberFormat="1" applyBorder="1" applyAlignment="1" applyProtection="1">
      <alignment horizontal="center"/>
      <protection locked="0"/>
    </xf>
    <xf numFmtId="43" fontId="0" fillId="0" borderId="1" xfId="1" applyFont="1" applyBorder="1" applyAlignment="1" applyProtection="1">
      <alignment horizontal="center"/>
      <protection locked="0"/>
    </xf>
    <xf numFmtId="43" fontId="7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3" fontId="5" fillId="5" borderId="1" xfId="1" applyFont="1" applyFill="1" applyBorder="1" applyAlignment="1" applyProtection="1">
      <alignment horizontal="center"/>
      <protection locked="0"/>
    </xf>
    <xf numFmtId="167" fontId="0" fillId="0" borderId="1" xfId="1" applyNumberFormat="1" applyFont="1" applyBorder="1" applyAlignment="1" applyProtection="1">
      <alignment horizontal="center"/>
      <protection locked="0"/>
    </xf>
    <xf numFmtId="10" fontId="0" fillId="0" borderId="1" xfId="2" applyNumberFormat="1" applyFont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43" fontId="7" fillId="0" borderId="1" xfId="1" applyFont="1" applyBorder="1" applyAlignment="1" applyProtection="1">
      <alignment horizontal="center"/>
      <protection locked="0"/>
    </xf>
    <xf numFmtId="43" fontId="0" fillId="0" borderId="1" xfId="1" applyNumberFormat="1" applyFont="1" applyBorder="1" applyAlignment="1" applyProtection="1">
      <alignment horizontal="center"/>
      <protection locked="0"/>
    </xf>
    <xf numFmtId="43" fontId="5" fillId="5" borderId="1" xfId="1" applyNumberFormat="1" applyFont="1" applyFill="1" applyBorder="1" applyAlignment="1" applyProtection="1">
      <alignment horizontal="center"/>
      <protection locked="0"/>
    </xf>
    <xf numFmtId="0" fontId="4" fillId="0" borderId="1" xfId="4" applyFont="1" applyBorder="1" applyAlignment="1" applyProtection="1">
      <alignment horizontal="center"/>
      <protection locked="0"/>
    </xf>
    <xf numFmtId="0" fontId="4" fillId="0" borderId="1" xfId="4" applyFont="1" applyBorder="1" applyAlignment="1" applyProtection="1">
      <alignment horizontal="center" wrapText="1"/>
      <protection locked="0"/>
    </xf>
    <xf numFmtId="43" fontId="8" fillId="0" borderId="1" xfId="1" applyFont="1" applyBorder="1" applyProtection="1">
      <protection locked="0"/>
    </xf>
    <xf numFmtId="43" fontId="4" fillId="2" borderId="2" xfId="1" applyFont="1" applyFill="1" applyBorder="1" applyProtection="1">
      <protection locked="0"/>
    </xf>
    <xf numFmtId="43" fontId="4" fillId="2" borderId="1" xfId="1" applyFont="1" applyFill="1" applyBorder="1" applyProtection="1">
      <protection locked="0"/>
    </xf>
    <xf numFmtId="43" fontId="0" fillId="0" borderId="1" xfId="1" applyFont="1" applyBorder="1" applyProtection="1">
      <protection locked="0"/>
    </xf>
    <xf numFmtId="43" fontId="5" fillId="0" borderId="0" xfId="0" applyNumberFormat="1" applyFont="1" applyProtection="1">
      <protection locked="0"/>
    </xf>
    <xf numFmtId="43" fontId="0" fillId="0" borderId="0" xfId="0" applyNumberForma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9" fontId="7" fillId="0" borderId="0" xfId="0" applyNumberFormat="1" applyFont="1" applyProtection="1">
      <protection locked="0"/>
    </xf>
    <xf numFmtId="164" fontId="0" fillId="0" borderId="0" xfId="1" applyNumberFormat="1" applyFont="1" applyProtection="1">
      <protection locked="0"/>
    </xf>
    <xf numFmtId="9" fontId="8" fillId="0" borderId="0" xfId="0" applyNumberFormat="1" applyFont="1" applyProtection="1">
      <protection locked="0"/>
    </xf>
    <xf numFmtId="0" fontId="0" fillId="0" borderId="0" xfId="0" quotePrefix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165" fontId="0" fillId="0" borderId="0" xfId="1" applyNumberFormat="1" applyFont="1" applyProtection="1">
      <protection locked="0"/>
    </xf>
    <xf numFmtId="165" fontId="0" fillId="0" borderId="0" xfId="0" applyNumberFormat="1" applyProtection="1"/>
    <xf numFmtId="0" fontId="8" fillId="3" borderId="0" xfId="0" applyFont="1" applyFill="1" applyAlignment="1" applyProtection="1">
      <alignment horizontal="center"/>
    </xf>
    <xf numFmtId="43" fontId="0" fillId="0" borderId="0" xfId="1" applyFont="1" applyProtection="1"/>
    <xf numFmtId="165" fontId="8" fillId="3" borderId="0" xfId="6" applyNumberFormat="1" applyFont="1" applyFill="1" applyAlignment="1" applyProtection="1"/>
    <xf numFmtId="165" fontId="0" fillId="3" borderId="0" xfId="1" applyNumberFormat="1" applyFont="1" applyFill="1" applyAlignment="1" applyProtection="1"/>
    <xf numFmtId="0" fontId="5" fillId="5" borderId="0" xfId="0" applyFont="1" applyFill="1" applyAlignment="1" applyProtection="1">
      <alignment horizontal="center"/>
    </xf>
    <xf numFmtId="9" fontId="7" fillId="0" borderId="0" xfId="0" applyNumberFormat="1" applyFont="1" applyProtection="1"/>
    <xf numFmtId="0" fontId="0" fillId="0" borderId="5" xfId="0" applyBorder="1" applyAlignment="1" applyProtection="1">
      <alignment horizontal="center"/>
    </xf>
    <xf numFmtId="9" fontId="0" fillId="0" borderId="0" xfId="0" applyNumberFormat="1" applyProtection="1"/>
    <xf numFmtId="0" fontId="0" fillId="0" borderId="8" xfId="0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0" fillId="0" borderId="1" xfId="0" applyBorder="1" applyProtection="1"/>
    <xf numFmtId="0" fontId="5" fillId="0" borderId="1" xfId="0" applyFont="1" applyBorder="1" applyAlignment="1" applyProtection="1">
      <alignment horizontal="center"/>
    </xf>
    <xf numFmtId="165" fontId="0" fillId="0" borderId="1" xfId="0" applyNumberFormat="1" applyBorder="1" applyProtection="1"/>
    <xf numFmtId="0" fontId="5" fillId="0" borderId="1" xfId="0" applyFont="1" applyBorder="1" applyProtection="1"/>
    <xf numFmtId="0" fontId="5" fillId="5" borderId="0" xfId="0" applyFont="1" applyFill="1" applyAlignment="1" applyProtection="1">
      <alignment horizontal="right"/>
    </xf>
    <xf numFmtId="165" fontId="8" fillId="3" borderId="6" xfId="1" applyNumberFormat="1" applyFont="1" applyFill="1" applyBorder="1" applyAlignment="1" applyProtection="1">
      <alignment horizontal="center"/>
      <protection locked="0"/>
    </xf>
    <xf numFmtId="165" fontId="8" fillId="3" borderId="1" xfId="1" applyNumberFormat="1" applyFont="1" applyFill="1" applyBorder="1" applyAlignment="1" applyProtection="1">
      <alignment horizontal="center"/>
      <protection locked="0"/>
    </xf>
    <xf numFmtId="165" fontId="9" fillId="3" borderId="11" xfId="1" applyNumberFormat="1" applyFont="1" applyFill="1" applyBorder="1" applyAlignment="1" applyProtection="1">
      <alignment horizontal="center"/>
      <protection locked="0"/>
    </xf>
    <xf numFmtId="43" fontId="8" fillId="3" borderId="1" xfId="1" applyFont="1" applyFill="1" applyBorder="1" applyProtection="1">
      <protection locked="0"/>
    </xf>
    <xf numFmtId="10" fontId="0" fillId="0" borderId="0" xfId="2" applyNumberFormat="1" applyFont="1" applyProtection="1">
      <protection locked="0"/>
    </xf>
    <xf numFmtId="43" fontId="0" fillId="0" borderId="1" xfId="1" applyNumberFormat="1" applyFont="1" applyBorder="1" applyProtection="1">
      <protection locked="0"/>
    </xf>
    <xf numFmtId="0" fontId="0" fillId="0" borderId="1" xfId="0" applyFill="1" applyBorder="1" applyProtection="1">
      <protection locked="0"/>
    </xf>
    <xf numFmtId="166" fontId="10" fillId="0" borderId="1" xfId="2" applyNumberFormat="1" applyFont="1" applyBorder="1" applyProtection="1">
      <protection locked="0"/>
    </xf>
    <xf numFmtId="168" fontId="8" fillId="0" borderId="1" xfId="2" applyNumberFormat="1" applyFont="1" applyBorder="1" applyProtection="1">
      <protection locked="0"/>
    </xf>
    <xf numFmtId="167" fontId="0" fillId="0" borderId="1" xfId="1" applyNumberFormat="1" applyFont="1" applyBorder="1" applyProtection="1">
      <protection locked="0"/>
    </xf>
    <xf numFmtId="168" fontId="0" fillId="0" borderId="1" xfId="2" applyNumberFormat="1" applyFont="1" applyBorder="1" applyProtection="1">
      <protection locked="0"/>
    </xf>
    <xf numFmtId="9" fontId="8" fillId="0" borderId="1" xfId="2" applyFont="1" applyBorder="1" applyProtection="1">
      <protection locked="0"/>
    </xf>
    <xf numFmtId="43" fontId="0" fillId="0" borderId="2" xfId="1" applyFont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3" fontId="0" fillId="0" borderId="1" xfId="0" applyNumberFormat="1" applyBorder="1" applyProtection="1">
      <protection locked="0"/>
    </xf>
    <xf numFmtId="10" fontId="0" fillId="0" borderId="2" xfId="2" applyNumberFormat="1" applyFont="1" applyBorder="1" applyProtection="1">
      <protection locked="0"/>
    </xf>
    <xf numFmtId="9" fontId="0" fillId="0" borderId="2" xfId="2" applyFont="1" applyBorder="1" applyProtection="1">
      <protection locked="0"/>
    </xf>
    <xf numFmtId="10" fontId="0" fillId="0" borderId="1" xfId="0" applyNumberFormat="1" applyBorder="1" applyProtection="1">
      <protection locked="0"/>
    </xf>
    <xf numFmtId="43" fontId="5" fillId="0" borderId="1" xfId="0" applyNumberFormat="1" applyFont="1" applyBorder="1" applyProtection="1">
      <protection locked="0"/>
    </xf>
    <xf numFmtId="9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43" fontId="0" fillId="0" borderId="2" xfId="0" applyNumberFormat="1" applyBorder="1" applyProtection="1">
      <protection locked="0"/>
    </xf>
    <xf numFmtId="43" fontId="5" fillId="0" borderId="2" xfId="0" applyNumberFormat="1" applyFont="1" applyBorder="1" applyProtection="1">
      <protection locked="0"/>
    </xf>
    <xf numFmtId="168" fontId="0" fillId="0" borderId="2" xfId="2" applyNumberFormat="1" applyFont="1" applyBorder="1" applyProtection="1">
      <protection locked="0"/>
    </xf>
    <xf numFmtId="168" fontId="0" fillId="0" borderId="3" xfId="2" applyNumberFormat="1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7">
    <cellStyle name="Comma" xfId="1" builtinId="3"/>
    <cellStyle name="Comma 11" xfId="6"/>
    <cellStyle name="Comma 2" xfId="5"/>
    <cellStyle name="Normal" xfId="0" builtinId="0"/>
    <cellStyle name="Normal_גיליון1" xfId="4"/>
    <cellStyle name="Normal_גיליון1_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rightToLeft="1" tabSelected="1" workbookViewId="0">
      <selection activeCell="G15" sqref="G15"/>
    </sheetView>
  </sheetViews>
  <sheetFormatPr defaultColWidth="8.75" defaultRowHeight="14.25" x14ac:dyDescent="0.2"/>
  <cols>
    <col min="1" max="1" width="8.75" style="17"/>
    <col min="2" max="2" width="21.25" style="17" customWidth="1"/>
    <col min="3" max="3" width="13.625" style="16" customWidth="1"/>
    <col min="4" max="4" width="12.25" style="16" customWidth="1"/>
    <col min="5" max="5" width="14.875" style="16" customWidth="1"/>
    <col min="6" max="6" width="13.25" style="16" customWidth="1"/>
    <col min="7" max="7" width="13.625" style="17" customWidth="1"/>
    <col min="8" max="8" width="10.75" style="17" customWidth="1"/>
    <col min="9" max="9" width="9" style="17" bestFit="1" customWidth="1"/>
    <col min="10" max="11" width="8.75" style="17"/>
    <col min="12" max="12" width="9.75" style="17" customWidth="1"/>
    <col min="13" max="13" width="13.375" style="17" customWidth="1"/>
    <col min="14" max="16384" width="8.75" style="17"/>
  </cols>
  <sheetData>
    <row r="1" spans="1:19" s="14" customFormat="1" ht="18" x14ac:dyDescent="0.25">
      <c r="B1" s="11" t="s">
        <v>98</v>
      </c>
      <c r="C1" s="12"/>
      <c r="D1" s="13">
        <v>2025</v>
      </c>
      <c r="E1" s="12"/>
      <c r="F1" s="12"/>
    </row>
    <row r="2" spans="1:19" s="14" customFormat="1" x14ac:dyDescent="0.2">
      <c r="C2" s="12"/>
      <c r="D2" s="12"/>
      <c r="E2" s="12"/>
      <c r="F2" s="12"/>
      <c r="G2" s="68"/>
    </row>
    <row r="3" spans="1:19" ht="15" x14ac:dyDescent="0.25">
      <c r="B3" s="12" t="s">
        <v>17</v>
      </c>
      <c r="C3" s="18" t="s">
        <v>19</v>
      </c>
      <c r="G3" s="69"/>
    </row>
    <row r="4" spans="1:19" ht="15" x14ac:dyDescent="0.25">
      <c r="B4" s="12" t="s">
        <v>18</v>
      </c>
      <c r="C4" s="18" t="s">
        <v>62</v>
      </c>
      <c r="G4" s="69"/>
    </row>
    <row r="5" spans="1:19" x14ac:dyDescent="0.2">
      <c r="B5" s="12" t="s">
        <v>20</v>
      </c>
      <c r="C5" s="70">
        <v>1</v>
      </c>
      <c r="D5" s="1" t="s">
        <v>21</v>
      </c>
      <c r="G5" s="71"/>
    </row>
    <row r="6" spans="1:19" x14ac:dyDescent="0.2">
      <c r="B6" s="12" t="s">
        <v>99</v>
      </c>
      <c r="C6" s="72">
        <v>5000000</v>
      </c>
      <c r="D6" s="16" t="s">
        <v>22</v>
      </c>
    </row>
    <row r="7" spans="1:19" x14ac:dyDescent="0.2">
      <c r="D7" s="73"/>
    </row>
    <row r="8" spans="1:19" ht="15" x14ac:dyDescent="0.25">
      <c r="B8" s="74" t="s">
        <v>54</v>
      </c>
      <c r="D8" s="35"/>
      <c r="R8" s="15" t="s">
        <v>100</v>
      </c>
    </row>
    <row r="9" spans="1:19" ht="15.75" thickBot="1" x14ac:dyDescent="0.3">
      <c r="B9" s="36" t="s">
        <v>45</v>
      </c>
      <c r="C9" s="36" t="s">
        <v>12</v>
      </c>
      <c r="D9" s="19" t="s">
        <v>13</v>
      </c>
      <c r="E9" s="19" t="s">
        <v>14</v>
      </c>
      <c r="F9" s="19" t="s">
        <v>15</v>
      </c>
      <c r="G9" s="19" t="s">
        <v>16</v>
      </c>
      <c r="H9" s="19" t="s">
        <v>44</v>
      </c>
      <c r="I9" s="14"/>
      <c r="J9" s="14"/>
      <c r="K9" s="46" t="s">
        <v>31</v>
      </c>
      <c r="L9" s="54" t="s">
        <v>23</v>
      </c>
      <c r="M9" s="55" t="s">
        <v>24</v>
      </c>
      <c r="N9" s="14"/>
      <c r="O9" s="14"/>
      <c r="P9" s="14"/>
      <c r="Q9" s="14"/>
      <c r="R9" s="82" t="s">
        <v>0</v>
      </c>
      <c r="S9" s="84">
        <f>G10</f>
        <v>42300.000000000058</v>
      </c>
    </row>
    <row r="10" spans="1:19" ht="15" x14ac:dyDescent="0.25">
      <c r="A10" s="75"/>
      <c r="B10" s="76" t="s">
        <v>0</v>
      </c>
      <c r="C10" s="87">
        <f>D10*1.1</f>
        <v>465300.00000000012</v>
      </c>
      <c r="D10" s="22">
        <f t="shared" ref="D10:D21" si="0">IF($C$5=1,L10/100*$C$6,M10/100*$C$6)</f>
        <v>423000.00000000006</v>
      </c>
      <c r="E10" s="23">
        <f>C10</f>
        <v>465300.00000000012</v>
      </c>
      <c r="F10" s="23">
        <f>D10</f>
        <v>423000.00000000006</v>
      </c>
      <c r="G10" s="23">
        <f>MAX(0,E10-F10)</f>
        <v>42300.000000000058</v>
      </c>
      <c r="H10" s="24">
        <f>G10/F10</f>
        <v>0.10000000000000013</v>
      </c>
      <c r="I10" s="14"/>
      <c r="J10" s="14" t="s">
        <v>0</v>
      </c>
      <c r="K10" s="56">
        <f>240-3.8</f>
        <v>236.2</v>
      </c>
      <c r="L10" s="57">
        <v>8.4600000000000009</v>
      </c>
      <c r="M10" s="58">
        <v>9.43</v>
      </c>
      <c r="N10" s="14"/>
      <c r="O10" s="14"/>
      <c r="P10" s="14"/>
      <c r="Q10" s="14"/>
      <c r="R10" s="82" t="s">
        <v>1</v>
      </c>
      <c r="S10" s="84">
        <f>G11-G10</f>
        <v>-38649.999999999942</v>
      </c>
    </row>
    <row r="11" spans="1:19" x14ac:dyDescent="0.2">
      <c r="A11" s="77"/>
      <c r="B11" s="78" t="s">
        <v>1</v>
      </c>
      <c r="C11" s="88">
        <f>D11*0.9</f>
        <v>347850.00000000006</v>
      </c>
      <c r="D11" s="25">
        <f t="shared" si="0"/>
        <v>386500.00000000006</v>
      </c>
      <c r="E11" s="26">
        <f>E10+C11</f>
        <v>813150.00000000023</v>
      </c>
      <c r="F11" s="26">
        <f>F10+D11</f>
        <v>809500.00000000012</v>
      </c>
      <c r="G11" s="26">
        <f t="shared" ref="G11:G21" si="1">MAX(0,E11-F11)</f>
        <v>3650.0000000001164</v>
      </c>
      <c r="H11" s="27">
        <f t="shared" ref="H11:H21" si="2">G11/F11</f>
        <v>4.5089561457691361E-3</v>
      </c>
      <c r="I11" s="14"/>
      <c r="J11" s="14" t="s">
        <v>1</v>
      </c>
      <c r="K11" s="59">
        <f>K10</f>
        <v>236.2</v>
      </c>
      <c r="L11" s="57">
        <v>7.73</v>
      </c>
      <c r="M11" s="58">
        <v>8.86</v>
      </c>
      <c r="N11" s="14"/>
      <c r="O11" s="14"/>
      <c r="P11" s="14"/>
      <c r="Q11" s="14"/>
      <c r="R11" s="82" t="s">
        <v>2</v>
      </c>
      <c r="S11" s="84">
        <f t="shared" ref="S11:S20" si="3">G12-G11</f>
        <v>-3650.0000000001164</v>
      </c>
    </row>
    <row r="12" spans="1:19" x14ac:dyDescent="0.2">
      <c r="A12" s="77"/>
      <c r="B12" s="78" t="s">
        <v>2</v>
      </c>
      <c r="C12" s="88">
        <v>439064.99999999994</v>
      </c>
      <c r="D12" s="25">
        <f t="shared" si="0"/>
        <v>443499.99999999994</v>
      </c>
      <c r="E12" s="26">
        <f t="shared" ref="E12:F21" si="4">E11+C12</f>
        <v>1252215.0000000002</v>
      </c>
      <c r="F12" s="26">
        <f t="shared" si="4"/>
        <v>1253000</v>
      </c>
      <c r="G12" s="26">
        <f t="shared" si="1"/>
        <v>0</v>
      </c>
      <c r="H12" s="27">
        <f t="shared" si="2"/>
        <v>0</v>
      </c>
      <c r="I12" s="14"/>
      <c r="J12" s="14" t="s">
        <v>2</v>
      </c>
      <c r="K12" s="59">
        <f>K11</f>
        <v>236.2</v>
      </c>
      <c r="L12" s="57">
        <v>8.8699999999999992</v>
      </c>
      <c r="M12" s="58">
        <v>10</v>
      </c>
      <c r="N12" s="14"/>
      <c r="O12" s="14"/>
      <c r="P12" s="14"/>
      <c r="Q12" s="14"/>
      <c r="R12" s="82" t="s">
        <v>3</v>
      </c>
      <c r="S12" s="84">
        <f t="shared" si="3"/>
        <v>0</v>
      </c>
    </row>
    <row r="13" spans="1:19" ht="15.75" thickBot="1" x14ac:dyDescent="0.3">
      <c r="A13" s="77"/>
      <c r="B13" s="79" t="s">
        <v>3</v>
      </c>
      <c r="C13" s="89">
        <v>429660</v>
      </c>
      <c r="D13" s="28">
        <f t="shared" si="0"/>
        <v>434000</v>
      </c>
      <c r="E13" s="29">
        <f t="shared" si="4"/>
        <v>1681875.0000000002</v>
      </c>
      <c r="F13" s="29">
        <f t="shared" si="4"/>
        <v>1687000</v>
      </c>
      <c r="G13" s="29">
        <f t="shared" si="1"/>
        <v>0</v>
      </c>
      <c r="H13" s="30">
        <f>G13/F13</f>
        <v>0</v>
      </c>
      <c r="I13" s="14"/>
      <c r="J13" s="14" t="s">
        <v>3</v>
      </c>
      <c r="K13" s="90">
        <f>K10</f>
        <v>236.2</v>
      </c>
      <c r="L13" s="57">
        <v>8.68</v>
      </c>
      <c r="M13" s="58">
        <v>9.39</v>
      </c>
      <c r="N13" s="14"/>
      <c r="O13" s="14"/>
      <c r="P13" s="14"/>
      <c r="Q13" s="14"/>
      <c r="R13" s="82" t="s">
        <v>4</v>
      </c>
      <c r="S13" s="84">
        <f t="shared" si="3"/>
        <v>22085</v>
      </c>
    </row>
    <row r="14" spans="1:19" ht="15" x14ac:dyDescent="0.25">
      <c r="A14" s="75"/>
      <c r="B14" s="76" t="s">
        <v>4</v>
      </c>
      <c r="C14" s="87">
        <v>480710</v>
      </c>
      <c r="D14" s="22">
        <f t="shared" si="0"/>
        <v>453500</v>
      </c>
      <c r="E14" s="23">
        <f t="shared" si="4"/>
        <v>2162585</v>
      </c>
      <c r="F14" s="23">
        <f t="shared" si="4"/>
        <v>2140500</v>
      </c>
      <c r="G14" s="23">
        <f t="shared" si="1"/>
        <v>22085</v>
      </c>
      <c r="H14" s="24">
        <f t="shared" si="2"/>
        <v>1.0317682784396169E-2</v>
      </c>
      <c r="I14" s="14"/>
      <c r="J14" s="14" t="s">
        <v>4</v>
      </c>
      <c r="K14" s="59">
        <f>K13</f>
        <v>236.2</v>
      </c>
      <c r="L14" s="57">
        <v>9.07</v>
      </c>
      <c r="M14" s="58">
        <v>9.2100000000000009</v>
      </c>
      <c r="N14" s="14"/>
      <c r="O14" s="14"/>
      <c r="P14" s="14"/>
      <c r="Q14" s="14"/>
      <c r="R14" s="82" t="s">
        <v>5</v>
      </c>
      <c r="S14" s="84">
        <f t="shared" si="3"/>
        <v>25440</v>
      </c>
    </row>
    <row r="15" spans="1:19" x14ac:dyDescent="0.2">
      <c r="A15" s="77"/>
      <c r="B15" s="78" t="s">
        <v>5</v>
      </c>
      <c r="C15" s="88">
        <v>449440</v>
      </c>
      <c r="D15" s="25">
        <f t="shared" si="0"/>
        <v>424000</v>
      </c>
      <c r="E15" s="26">
        <f t="shared" si="4"/>
        <v>2612025</v>
      </c>
      <c r="F15" s="26">
        <f t="shared" si="4"/>
        <v>2564500</v>
      </c>
      <c r="G15" s="26">
        <f t="shared" si="1"/>
        <v>47525</v>
      </c>
      <c r="H15" s="27">
        <f t="shared" si="2"/>
        <v>1.8531877558978359E-2</v>
      </c>
      <c r="I15" s="14"/>
      <c r="J15" s="14" t="s">
        <v>5</v>
      </c>
      <c r="K15" s="59">
        <f>K14</f>
        <v>236.2</v>
      </c>
      <c r="L15" s="57">
        <v>8.48</v>
      </c>
      <c r="M15" s="58">
        <v>8.3699999999999992</v>
      </c>
      <c r="N15" s="14"/>
      <c r="O15" s="14"/>
      <c r="P15" s="14"/>
      <c r="Q15" s="14"/>
      <c r="R15" s="82" t="s">
        <v>6</v>
      </c>
      <c r="S15" s="84">
        <f t="shared" si="3"/>
        <v>25110</v>
      </c>
    </row>
    <row r="16" spans="1:19" x14ac:dyDescent="0.2">
      <c r="A16" s="77"/>
      <c r="B16" s="78" t="s">
        <v>6</v>
      </c>
      <c r="C16" s="88">
        <v>443610</v>
      </c>
      <c r="D16" s="25">
        <f t="shared" si="0"/>
        <v>418500</v>
      </c>
      <c r="E16" s="26">
        <f t="shared" si="4"/>
        <v>3055635</v>
      </c>
      <c r="F16" s="26">
        <f t="shared" si="4"/>
        <v>2983000</v>
      </c>
      <c r="G16" s="26">
        <f t="shared" si="1"/>
        <v>72635</v>
      </c>
      <c r="H16" s="27">
        <f t="shared" si="2"/>
        <v>2.4349648005363728E-2</v>
      </c>
      <c r="I16" s="14"/>
      <c r="J16" s="14" t="s">
        <v>6</v>
      </c>
      <c r="K16" s="90">
        <f>K10</f>
        <v>236.2</v>
      </c>
      <c r="L16" s="57">
        <v>8.3699999999999992</v>
      </c>
      <c r="M16" s="58">
        <v>7.96</v>
      </c>
      <c r="N16" s="14"/>
      <c r="O16" s="14"/>
      <c r="P16" s="14"/>
      <c r="Q16" s="14"/>
      <c r="R16" s="82" t="s">
        <v>7</v>
      </c>
      <c r="S16" s="84">
        <f t="shared" si="3"/>
        <v>24090</v>
      </c>
    </row>
    <row r="17" spans="1:19" x14ac:dyDescent="0.2">
      <c r="A17" s="77"/>
      <c r="B17" s="78" t="s">
        <v>7</v>
      </c>
      <c r="C17" s="88">
        <v>425590</v>
      </c>
      <c r="D17" s="25">
        <f t="shared" si="0"/>
        <v>401500</v>
      </c>
      <c r="E17" s="26">
        <f t="shared" si="4"/>
        <v>3481225</v>
      </c>
      <c r="F17" s="26">
        <f t="shared" si="4"/>
        <v>3384500</v>
      </c>
      <c r="G17" s="26">
        <f t="shared" si="1"/>
        <v>96725</v>
      </c>
      <c r="H17" s="27">
        <f t="shared" si="2"/>
        <v>2.8578815186881372E-2</v>
      </c>
      <c r="I17" s="14"/>
      <c r="J17" s="14" t="s">
        <v>7</v>
      </c>
      <c r="K17" s="59">
        <f>K16</f>
        <v>236.2</v>
      </c>
      <c r="L17" s="57">
        <v>8.0299999999999994</v>
      </c>
      <c r="M17" s="58">
        <v>6.77</v>
      </c>
      <c r="N17" s="14"/>
      <c r="O17" s="14"/>
      <c r="P17" s="14"/>
      <c r="Q17" s="14"/>
      <c r="R17" s="82" t="s">
        <v>8</v>
      </c>
      <c r="S17" s="84">
        <f t="shared" si="3"/>
        <v>22980</v>
      </c>
    </row>
    <row r="18" spans="1:19" x14ac:dyDescent="0.2">
      <c r="A18" s="77"/>
      <c r="B18" s="78" t="s">
        <v>8</v>
      </c>
      <c r="C18" s="88">
        <v>405980</v>
      </c>
      <c r="D18" s="25">
        <f t="shared" si="0"/>
        <v>383000</v>
      </c>
      <c r="E18" s="26">
        <f t="shared" si="4"/>
        <v>3887205</v>
      </c>
      <c r="F18" s="26">
        <f t="shared" si="4"/>
        <v>3767500</v>
      </c>
      <c r="G18" s="26">
        <f t="shared" si="1"/>
        <v>119705</v>
      </c>
      <c r="H18" s="27">
        <f t="shared" si="2"/>
        <v>3.177305905773059E-2</v>
      </c>
      <c r="I18" s="14"/>
      <c r="J18" s="14" t="s">
        <v>8</v>
      </c>
      <c r="K18" s="59">
        <f>K17</f>
        <v>236.2</v>
      </c>
      <c r="L18" s="57">
        <v>7.66</v>
      </c>
      <c r="M18" s="58">
        <v>5.95</v>
      </c>
      <c r="N18" s="14"/>
      <c r="O18" s="14"/>
      <c r="P18" s="14"/>
      <c r="Q18" s="14"/>
      <c r="R18" s="82" t="s">
        <v>9</v>
      </c>
      <c r="S18" s="84">
        <f t="shared" si="3"/>
        <v>24150</v>
      </c>
    </row>
    <row r="19" spans="1:19" ht="15.75" thickBot="1" x14ac:dyDescent="0.3">
      <c r="A19" s="77"/>
      <c r="B19" s="79" t="s">
        <v>9</v>
      </c>
      <c r="C19" s="89">
        <v>426650</v>
      </c>
      <c r="D19" s="28">
        <f t="shared" si="0"/>
        <v>402500</v>
      </c>
      <c r="E19" s="29">
        <f t="shared" si="4"/>
        <v>4313855</v>
      </c>
      <c r="F19" s="29">
        <f t="shared" si="4"/>
        <v>4170000</v>
      </c>
      <c r="G19" s="29">
        <f t="shared" si="1"/>
        <v>143855</v>
      </c>
      <c r="H19" s="30">
        <f t="shared" si="2"/>
        <v>3.449760191846523E-2</v>
      </c>
      <c r="I19" s="14"/>
      <c r="J19" s="14" t="s">
        <v>9</v>
      </c>
      <c r="K19" s="90">
        <f>K10</f>
        <v>236.2</v>
      </c>
      <c r="L19" s="57">
        <v>8.0500000000000007</v>
      </c>
      <c r="M19" s="58">
        <v>6.87</v>
      </c>
      <c r="N19" s="14"/>
      <c r="O19" s="14"/>
      <c r="P19" s="14"/>
      <c r="Q19" s="14"/>
      <c r="R19" s="82" t="s">
        <v>10</v>
      </c>
      <c r="S19" s="84">
        <f t="shared" si="3"/>
        <v>-4000</v>
      </c>
    </row>
    <row r="20" spans="1:19" x14ac:dyDescent="0.2">
      <c r="A20" s="77"/>
      <c r="B20" s="76" t="s">
        <v>10</v>
      </c>
      <c r="C20" s="87">
        <v>396000</v>
      </c>
      <c r="D20" s="22">
        <f t="shared" si="0"/>
        <v>400000</v>
      </c>
      <c r="E20" s="23">
        <f t="shared" si="4"/>
        <v>4709855</v>
      </c>
      <c r="F20" s="23">
        <f t="shared" si="4"/>
        <v>4570000</v>
      </c>
      <c r="G20" s="23">
        <f t="shared" si="1"/>
        <v>139855</v>
      </c>
      <c r="H20" s="24">
        <f t="shared" si="2"/>
        <v>3.0602844638949672E-2</v>
      </c>
      <c r="I20" s="14"/>
      <c r="J20" s="14" t="s">
        <v>10</v>
      </c>
      <c r="K20" s="59">
        <f>K19</f>
        <v>236.2</v>
      </c>
      <c r="L20" s="57">
        <v>8</v>
      </c>
      <c r="M20" s="58">
        <v>7.9</v>
      </c>
      <c r="N20" s="14"/>
      <c r="O20" s="14"/>
      <c r="P20" s="14"/>
      <c r="Q20" s="14"/>
      <c r="R20" s="82" t="s">
        <v>11</v>
      </c>
      <c r="S20" s="84">
        <f t="shared" si="3"/>
        <v>-4300</v>
      </c>
    </row>
    <row r="21" spans="1:19" ht="15.75" thickBot="1" x14ac:dyDescent="0.3">
      <c r="A21" s="77"/>
      <c r="B21" s="80" t="s">
        <v>11</v>
      </c>
      <c r="C21" s="89">
        <v>425699.99999999994</v>
      </c>
      <c r="D21" s="28">
        <f t="shared" si="0"/>
        <v>429999.99999999994</v>
      </c>
      <c r="E21" s="29">
        <f t="shared" si="4"/>
        <v>5135555</v>
      </c>
      <c r="F21" s="29">
        <f t="shared" si="4"/>
        <v>5000000</v>
      </c>
      <c r="G21" s="29">
        <f t="shared" si="1"/>
        <v>135555</v>
      </c>
      <c r="H21" s="31">
        <f t="shared" si="2"/>
        <v>2.7111E-2</v>
      </c>
      <c r="I21" s="14"/>
      <c r="J21" s="14" t="s">
        <v>11</v>
      </c>
      <c r="K21" s="59">
        <f>K20</f>
        <v>236.2</v>
      </c>
      <c r="L21" s="57">
        <v>8.6</v>
      </c>
      <c r="M21" s="58">
        <v>9.2899999999999991</v>
      </c>
      <c r="N21" s="14"/>
      <c r="O21" s="14"/>
      <c r="P21" s="14"/>
      <c r="Q21" s="14"/>
      <c r="S21" s="69"/>
    </row>
    <row r="22" spans="1:19" ht="15" x14ac:dyDescent="0.25">
      <c r="B22" s="81" t="s">
        <v>25</v>
      </c>
      <c r="C22" s="32">
        <f>SUM(C10:C21)</f>
        <v>5135555</v>
      </c>
      <c r="D22" s="32">
        <f>SUM(D10:D21)</f>
        <v>5000000</v>
      </c>
      <c r="E22" s="33"/>
      <c r="F22" s="33"/>
      <c r="G22" s="34"/>
      <c r="H22" s="34"/>
      <c r="I22" s="14"/>
      <c r="J22" s="14"/>
      <c r="K22" s="60">
        <f>AVERAGE(K10:K21)</f>
        <v>236.19999999999996</v>
      </c>
      <c r="L22" s="61">
        <f>SUM(L10:L21)</f>
        <v>99.999999999999986</v>
      </c>
      <c r="M22" s="61">
        <f>SUM(M10:M21)</f>
        <v>100</v>
      </c>
      <c r="N22" s="14"/>
      <c r="O22" s="14"/>
      <c r="P22" s="14"/>
      <c r="Q22" s="14"/>
      <c r="S22" s="69"/>
    </row>
    <row r="23" spans="1:19" x14ac:dyDescent="0.2">
      <c r="C23" s="12"/>
      <c r="D23" s="12"/>
      <c r="E23" s="12"/>
      <c r="F23" s="12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9" x14ac:dyDescent="0.2">
      <c r="C24" s="12"/>
      <c r="D24" s="12"/>
      <c r="E24" s="12"/>
      <c r="F24" s="12"/>
      <c r="G24" s="14"/>
      <c r="H24" s="14"/>
      <c r="I24" s="14"/>
      <c r="J24" s="14"/>
      <c r="K24" s="14"/>
      <c r="L24" s="14"/>
      <c r="M24" s="14"/>
      <c r="N24" s="14"/>
      <c r="O24" s="14"/>
      <c r="P24" s="12" t="s">
        <v>35</v>
      </c>
      <c r="Q24" s="12"/>
    </row>
    <row r="25" spans="1:19" ht="15" x14ac:dyDescent="0.25">
      <c r="B25" s="74" t="s">
        <v>59</v>
      </c>
      <c r="C25" s="12"/>
      <c r="D25" s="12"/>
      <c r="E25" s="12"/>
      <c r="F25" s="37">
        <v>0.03</v>
      </c>
      <c r="G25" s="14"/>
      <c r="H25" s="14"/>
      <c r="I25" s="14"/>
      <c r="J25" s="14"/>
      <c r="K25" s="14"/>
      <c r="L25" s="14"/>
      <c r="M25" s="14"/>
      <c r="N25" s="12" t="s">
        <v>33</v>
      </c>
      <c r="O25" s="12" t="s">
        <v>34</v>
      </c>
      <c r="P25" s="12" t="s">
        <v>33</v>
      </c>
      <c r="Q25" s="12" t="s">
        <v>34</v>
      </c>
    </row>
    <row r="26" spans="1:19" ht="29.25" x14ac:dyDescent="0.25">
      <c r="B26" s="82"/>
      <c r="C26" s="21" t="s">
        <v>12</v>
      </c>
      <c r="D26" s="21" t="s">
        <v>13</v>
      </c>
      <c r="E26" s="21" t="s">
        <v>28</v>
      </c>
      <c r="F26" s="21" t="s">
        <v>29</v>
      </c>
      <c r="G26" s="21" t="s">
        <v>30</v>
      </c>
      <c r="H26" s="14"/>
      <c r="I26" s="14"/>
      <c r="J26" s="14"/>
      <c r="K26" s="14"/>
      <c r="L26" s="62" t="s">
        <v>65</v>
      </c>
      <c r="M26" s="61">
        <f>AVERAGE(K10,K11,K12,K13,K20,K21)</f>
        <v>236.20000000000002</v>
      </c>
      <c r="N26" s="63">
        <v>0.8</v>
      </c>
      <c r="O26" s="63">
        <v>0.4</v>
      </c>
      <c r="P26" s="64">
        <f>(1-N26)*$M26</f>
        <v>47.239999999999995</v>
      </c>
      <c r="Q26" s="64">
        <f>(1-O26)*$M26</f>
        <v>141.72</v>
      </c>
    </row>
    <row r="27" spans="1:19" ht="15" x14ac:dyDescent="0.25">
      <c r="B27" s="82" t="s">
        <v>63</v>
      </c>
      <c r="C27" s="25">
        <f>C22</f>
        <v>5135555</v>
      </c>
      <c r="D27" s="25">
        <f>D22</f>
        <v>5000000</v>
      </c>
      <c r="E27" s="26">
        <f>MAX(0,C27-D27)</f>
        <v>135555</v>
      </c>
      <c r="F27" s="25">
        <f>E27-G27</f>
        <v>135555</v>
      </c>
      <c r="G27" s="38">
        <f>MAX(0,C27-D27*(1+F25))</f>
        <v>0</v>
      </c>
      <c r="H27" s="39">
        <f>C27/D27-1</f>
        <v>2.7111000000000107E-2</v>
      </c>
      <c r="I27" s="14"/>
      <c r="J27" s="14"/>
      <c r="K27" s="14"/>
      <c r="L27" s="14" t="s">
        <v>32</v>
      </c>
      <c r="M27" s="61">
        <f>AVERAGE(K14:K19)</f>
        <v>236.20000000000002</v>
      </c>
      <c r="N27" s="63">
        <v>0.9</v>
      </c>
      <c r="O27" s="63">
        <v>0.8</v>
      </c>
      <c r="P27" s="64">
        <f>(1-N27)*$M27</f>
        <v>23.619999999999997</v>
      </c>
      <c r="Q27" s="64">
        <f>(1-O27)*$M27</f>
        <v>47.239999999999995</v>
      </c>
    </row>
    <row r="28" spans="1:19" x14ac:dyDescent="0.2">
      <c r="B28" s="82" t="s">
        <v>64</v>
      </c>
      <c r="C28" s="26">
        <f>C27-C29</f>
        <v>2503575</v>
      </c>
      <c r="D28" s="26">
        <f>D27-D29</f>
        <v>2517000</v>
      </c>
      <c r="E28" s="26">
        <f>E27-E29</f>
        <v>0</v>
      </c>
      <c r="F28" s="25">
        <f>F27-F29</f>
        <v>0</v>
      </c>
      <c r="G28" s="38">
        <f>G27-G29</f>
        <v>0</v>
      </c>
      <c r="H28" s="39">
        <f t="shared" ref="H28:H29" si="5">C28/D28-1</f>
        <v>-5.333730631704392E-3</v>
      </c>
      <c r="I28" s="91"/>
      <c r="J28" s="91"/>
      <c r="K28" s="14"/>
      <c r="L28" s="14"/>
      <c r="M28" s="14"/>
      <c r="N28" s="14"/>
      <c r="O28" s="14"/>
      <c r="P28" s="14"/>
      <c r="Q28" s="14"/>
    </row>
    <row r="29" spans="1:19" x14ac:dyDescent="0.2">
      <c r="B29" s="82" t="s">
        <v>27</v>
      </c>
      <c r="C29" s="26">
        <f>SUM(C14:C19)</f>
        <v>2631980</v>
      </c>
      <c r="D29" s="26">
        <f>SUM(D14:D19)</f>
        <v>2483000</v>
      </c>
      <c r="E29" s="26">
        <f>MIN(E27,MAX(C29-D29,0))</f>
        <v>135555</v>
      </c>
      <c r="F29" s="25">
        <f>E29-G29</f>
        <v>135555</v>
      </c>
      <c r="G29" s="38">
        <f>MIN(G27,MAX(0,C29-D29*(1+F25)))</f>
        <v>0</v>
      </c>
      <c r="H29" s="39">
        <f t="shared" si="5"/>
        <v>6.0000000000000053E-2</v>
      </c>
      <c r="I29" s="91"/>
      <c r="J29" s="91"/>
      <c r="K29" s="14"/>
      <c r="L29" s="12" t="s">
        <v>66</v>
      </c>
      <c r="M29" s="14" t="s">
        <v>69</v>
      </c>
      <c r="N29" s="65">
        <v>0.15</v>
      </c>
      <c r="O29" s="14"/>
      <c r="P29" s="14"/>
      <c r="Q29" s="14"/>
    </row>
    <row r="30" spans="1:19" x14ac:dyDescent="0.2">
      <c r="C30" s="12"/>
      <c r="D30" s="12"/>
      <c r="E30" s="12"/>
      <c r="F30" s="12"/>
      <c r="G30" s="14"/>
      <c r="H30" s="40"/>
      <c r="I30" s="91"/>
      <c r="J30" s="91"/>
      <c r="K30" s="14"/>
      <c r="L30" s="66" t="s">
        <v>67</v>
      </c>
      <c r="M30" s="14" t="s">
        <v>68</v>
      </c>
      <c r="N30" s="67">
        <v>0.5</v>
      </c>
      <c r="O30" s="14"/>
      <c r="P30" s="14"/>
      <c r="Q30" s="14"/>
    </row>
    <row r="31" spans="1:19" ht="15" x14ac:dyDescent="0.25">
      <c r="B31" s="82"/>
      <c r="C31" s="21" t="s">
        <v>61</v>
      </c>
      <c r="D31" s="41" t="s">
        <v>42</v>
      </c>
      <c r="E31" s="21" t="s">
        <v>43</v>
      </c>
      <c r="F31" s="42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9" x14ac:dyDescent="0.2">
      <c r="B32" s="82" t="s">
        <v>36</v>
      </c>
      <c r="C32" s="26">
        <f>F28</f>
        <v>0</v>
      </c>
      <c r="D32" s="43">
        <f>P26/100</f>
        <v>0.47239999999999993</v>
      </c>
      <c r="E32" s="44">
        <f>D32*C32</f>
        <v>0</v>
      </c>
      <c r="F32" s="12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2:17" x14ac:dyDescent="0.2">
      <c r="B33" s="82" t="s">
        <v>37</v>
      </c>
      <c r="C33" s="26">
        <f>G28</f>
        <v>0</v>
      </c>
      <c r="D33" s="43">
        <f>Q26/100</f>
        <v>1.4172</v>
      </c>
      <c r="E33" s="44">
        <f t="shared" ref="E33:E36" si="6">D33*C33</f>
        <v>0</v>
      </c>
      <c r="F33" s="12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2">
      <c r="B34" s="82" t="s">
        <v>39</v>
      </c>
      <c r="C34" s="26">
        <f>F29</f>
        <v>135555</v>
      </c>
      <c r="D34" s="43">
        <f>P27/100</f>
        <v>0.23619999999999997</v>
      </c>
      <c r="E34" s="44">
        <f t="shared" si="6"/>
        <v>32018.090999999997</v>
      </c>
      <c r="F34" s="12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2:17" x14ac:dyDescent="0.2">
      <c r="B35" s="82" t="s">
        <v>40</v>
      </c>
      <c r="C35" s="26">
        <f>G29</f>
        <v>0</v>
      </c>
      <c r="D35" s="43">
        <f>Q27/100</f>
        <v>0.47239999999999993</v>
      </c>
      <c r="E35" s="44">
        <f t="shared" si="6"/>
        <v>0</v>
      </c>
      <c r="F35" s="12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2:17" ht="15" x14ac:dyDescent="0.25">
      <c r="B36" s="82" t="s">
        <v>38</v>
      </c>
      <c r="C36" s="25">
        <f>MAX(0,C28-(1+N29)*D28)</f>
        <v>0</v>
      </c>
      <c r="D36" s="45">
        <f>N30</f>
        <v>0.5</v>
      </c>
      <c r="E36" s="44">
        <f t="shared" si="6"/>
        <v>0</v>
      </c>
      <c r="F36" s="12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2:17" ht="15" x14ac:dyDescent="0.25">
      <c r="B37" s="85" t="s">
        <v>25</v>
      </c>
      <c r="C37" s="41">
        <f>SUM(C32:C35)</f>
        <v>135555</v>
      </c>
      <c r="D37" s="46"/>
      <c r="E37" s="47">
        <f>SUM(E32:E36)</f>
        <v>32018.090999999997</v>
      </c>
      <c r="F37" s="12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2:17" x14ac:dyDescent="0.2">
      <c r="C38" s="12"/>
      <c r="D38" s="12"/>
      <c r="E38" s="12"/>
      <c r="F38" s="12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2:17" ht="15" x14ac:dyDescent="0.25">
      <c r="B39" s="83" t="s">
        <v>55</v>
      </c>
      <c r="C39" s="21" t="s">
        <v>57</v>
      </c>
      <c r="D39" s="46"/>
      <c r="E39" s="12"/>
      <c r="F39" s="12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2:17" x14ac:dyDescent="0.2">
      <c r="B40" s="82" t="s">
        <v>56</v>
      </c>
      <c r="C40" s="48">
        <f>E37/C37</f>
        <v>0.23619999999999997</v>
      </c>
      <c r="D40" s="49">
        <f>C40*100/K22</f>
        <v>0.1</v>
      </c>
      <c r="E40" s="12"/>
      <c r="F40" s="12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2:17" x14ac:dyDescent="0.2">
      <c r="B41" s="82" t="s">
        <v>60</v>
      </c>
      <c r="C41" s="48">
        <f>E37/C22</f>
        <v>6.2345921716348077E-3</v>
      </c>
      <c r="D41" s="49">
        <f>C41*100/K22</f>
        <v>2.6395394460773957E-3</v>
      </c>
      <c r="E41" s="12"/>
      <c r="F41" s="12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2:17" x14ac:dyDescent="0.2">
      <c r="C42" s="12"/>
      <c r="D42" s="12"/>
      <c r="E42" s="12"/>
      <c r="F42" s="12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2:17" x14ac:dyDescent="0.2">
      <c r="C43" s="12"/>
      <c r="D43" s="12"/>
      <c r="E43" s="12"/>
      <c r="F43" s="12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2:17" ht="15" x14ac:dyDescent="0.25">
      <c r="B44" s="86" t="s">
        <v>70</v>
      </c>
      <c r="C44" s="50"/>
      <c r="D44" s="12"/>
      <c r="E44" s="12"/>
      <c r="F44" s="12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2:17" x14ac:dyDescent="0.2">
      <c r="B45" s="82"/>
      <c r="C45" s="46" t="s">
        <v>12</v>
      </c>
      <c r="D45" s="46" t="s">
        <v>13</v>
      </c>
      <c r="E45" s="46" t="s">
        <v>47</v>
      </c>
      <c r="F45" s="46" t="s">
        <v>48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2:17" x14ac:dyDescent="0.2">
      <c r="B46" s="82" t="s">
        <v>46</v>
      </c>
      <c r="C46" s="26">
        <f>C28</f>
        <v>2503575</v>
      </c>
      <c r="D46" s="26">
        <f>D28</f>
        <v>2517000</v>
      </c>
      <c r="E46" s="26">
        <f>MAX(0,C46-D46)</f>
        <v>0</v>
      </c>
      <c r="F46" s="26">
        <f>MAX(0,D46-C46)</f>
        <v>13425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2:17" x14ac:dyDescent="0.2">
      <c r="B47" s="82" t="s">
        <v>26</v>
      </c>
      <c r="C47" s="26">
        <f>C29</f>
        <v>2631980</v>
      </c>
      <c r="D47" s="26">
        <f>D29</f>
        <v>2483000</v>
      </c>
      <c r="E47" s="26">
        <f>MAX(0,C47-D47)</f>
        <v>148980</v>
      </c>
      <c r="F47" s="26">
        <f>MAX(0,D47-C47)</f>
        <v>0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2:17" x14ac:dyDescent="0.2">
      <c r="C48" s="12"/>
      <c r="D48" s="12"/>
      <c r="E48" s="12"/>
      <c r="F48" s="12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2:17" ht="15" x14ac:dyDescent="0.25">
      <c r="B49" s="82"/>
      <c r="C49" s="21" t="s">
        <v>41</v>
      </c>
      <c r="D49" s="21" t="s">
        <v>51</v>
      </c>
      <c r="E49" s="21" t="s">
        <v>58</v>
      </c>
      <c r="F49" s="12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2:17" ht="15" x14ac:dyDescent="0.25">
      <c r="B50" s="82" t="s">
        <v>49</v>
      </c>
      <c r="C50" s="25">
        <f>MIN(0.3*D46,F46,E47)</f>
        <v>13425</v>
      </c>
      <c r="D50" s="51">
        <v>0.6</v>
      </c>
      <c r="E50" s="52">
        <f>C50*D50</f>
        <v>8055</v>
      </c>
      <c r="F50" s="12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2:17" x14ac:dyDescent="0.2">
      <c r="B51" s="82" t="s">
        <v>50</v>
      </c>
      <c r="C51" s="25">
        <f>MIN(F47,E46)</f>
        <v>0</v>
      </c>
      <c r="D51" s="43">
        <f>D50</f>
        <v>0.6</v>
      </c>
      <c r="E51" s="52">
        <f>C51*D51</f>
        <v>0</v>
      </c>
      <c r="F51" s="12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ht="15" x14ac:dyDescent="0.25">
      <c r="B52" s="82" t="s">
        <v>52</v>
      </c>
      <c r="C52" s="114"/>
      <c r="D52" s="115"/>
      <c r="E52" s="53">
        <f>E50-E51</f>
        <v>8055</v>
      </c>
      <c r="F52" s="12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2:17" ht="15" x14ac:dyDescent="0.25">
      <c r="B53" s="82" t="s">
        <v>53</v>
      </c>
      <c r="C53" s="116"/>
      <c r="D53" s="117"/>
      <c r="E53" s="47">
        <f>E37+E52</f>
        <v>40073.091</v>
      </c>
      <c r="F53" s="12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2:17" x14ac:dyDescent="0.2">
      <c r="C54" s="12"/>
      <c r="D54" s="12"/>
      <c r="E54" s="12"/>
      <c r="F54" s="12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</sheetData>
  <sheetProtection selectLockedCells="1"/>
  <mergeCells count="1">
    <mergeCell ref="C52:D5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8"/>
  <sheetViews>
    <sheetView rightToLeft="1" topLeftCell="C1" workbookViewId="0">
      <selection activeCell="H10" sqref="H10:N18"/>
    </sheetView>
  </sheetViews>
  <sheetFormatPr defaultRowHeight="14.25" x14ac:dyDescent="0.2"/>
  <cols>
    <col min="2" max="2" width="22.5" customWidth="1"/>
    <col min="4" max="4" width="8.25" customWidth="1"/>
    <col min="5" max="5" width="10.125" customWidth="1"/>
    <col min="7" max="7" width="9.5" customWidth="1"/>
    <col min="8" max="8" width="11.25" customWidth="1"/>
    <col min="9" max="9" width="11.875" customWidth="1"/>
    <col min="10" max="10" width="7.875" customWidth="1"/>
  </cols>
  <sheetData>
    <row r="3" spans="2:15" ht="42.75" x14ac:dyDescent="0.2">
      <c r="C3" s="20" t="s">
        <v>80</v>
      </c>
      <c r="D3" s="20" t="s">
        <v>78</v>
      </c>
      <c r="E3" s="20" t="s">
        <v>75</v>
      </c>
      <c r="F3" s="20" t="s">
        <v>81</v>
      </c>
      <c r="G3" s="93" t="s">
        <v>82</v>
      </c>
      <c r="H3" s="9" t="s">
        <v>83</v>
      </c>
      <c r="I3" s="93" t="s">
        <v>84</v>
      </c>
      <c r="J3" s="100" t="s">
        <v>95</v>
      </c>
      <c r="K3" s="93" t="s">
        <v>96</v>
      </c>
      <c r="L3" s="101" t="s">
        <v>97</v>
      </c>
      <c r="M3" s="14"/>
      <c r="N3" s="14"/>
      <c r="O3" s="14"/>
    </row>
    <row r="4" spans="2:15" ht="15" x14ac:dyDescent="0.25">
      <c r="B4" s="8"/>
      <c r="C4" s="20" t="s">
        <v>76</v>
      </c>
      <c r="D4" s="94">
        <v>3.993E-2</v>
      </c>
      <c r="E4" s="95">
        <v>0.42499999999999999</v>
      </c>
      <c r="F4" s="96">
        <f>ROUND((1-F6)/(D4+(E5/E4)*D5),4)</f>
        <v>10.3805</v>
      </c>
      <c r="G4" s="96">
        <f>$C$10*F4/100</f>
        <v>24.518740999999995</v>
      </c>
      <c r="H4" s="10">
        <v>4.0500000000000001E-2</v>
      </c>
      <c r="I4" s="102">
        <f>H4*G4</f>
        <v>0.99300901049999979</v>
      </c>
      <c r="J4" s="103">
        <f>H4-D4</f>
        <v>5.7000000000000106E-4</v>
      </c>
      <c r="K4" s="102">
        <f>J4*G4</f>
        <v>1.3975682370000023E-2</v>
      </c>
      <c r="L4" s="104">
        <f>F4*D4</f>
        <v>0.414493365</v>
      </c>
      <c r="M4" s="102">
        <f>G4*D4+K4</f>
        <v>0.99300901049999979</v>
      </c>
      <c r="N4" s="39">
        <f>M4/$M$7</f>
        <v>0.41717961523144376</v>
      </c>
      <c r="O4" s="14"/>
    </row>
    <row r="5" spans="2:15" ht="15" x14ac:dyDescent="0.25">
      <c r="B5" s="7"/>
      <c r="C5" s="20" t="s">
        <v>77</v>
      </c>
      <c r="D5" s="94">
        <v>3.4569999999999997E-2</v>
      </c>
      <c r="E5" s="97">
        <v>0.57499999999999996</v>
      </c>
      <c r="F5" s="96">
        <f>ROUND(F4*E5/E4,4)</f>
        <v>14.0442</v>
      </c>
      <c r="G5" s="96">
        <f>$C$10*F5/100</f>
        <v>33.172400399999994</v>
      </c>
      <c r="H5" s="10">
        <v>3.4700000000000002E-2</v>
      </c>
      <c r="I5" s="102">
        <f t="shared" ref="I5:I6" si="0">H5*G5</f>
        <v>1.1510822938799998</v>
      </c>
      <c r="J5" s="103">
        <f>H5-D5</f>
        <v>1.3000000000000511E-4</v>
      </c>
      <c r="K5" s="102">
        <f>J5*G5</f>
        <v>4.3124120520001688E-3</v>
      </c>
      <c r="L5" s="104">
        <f>F5*D5</f>
        <v>0.48550799399999994</v>
      </c>
      <c r="M5" s="102">
        <f>G5*D5+K5</f>
        <v>1.1510822938799998</v>
      </c>
      <c r="N5" s="39">
        <f t="shared" ref="N5:N6" si="1">M5/$M$7</f>
        <v>0.48358883291380378</v>
      </c>
      <c r="O5" s="14"/>
    </row>
    <row r="6" spans="2:15" x14ac:dyDescent="0.2">
      <c r="C6" s="20" t="s">
        <v>79</v>
      </c>
      <c r="D6" s="59">
        <v>1</v>
      </c>
      <c r="E6" s="98">
        <v>0.1</v>
      </c>
      <c r="F6" s="96">
        <f>E6</f>
        <v>0.1</v>
      </c>
      <c r="G6" s="96">
        <f>$C$10*F6/100</f>
        <v>0.23619999999999997</v>
      </c>
      <c r="H6" s="99">
        <v>1</v>
      </c>
      <c r="I6" s="102">
        <f t="shared" si="0"/>
        <v>0.23619999999999997</v>
      </c>
      <c r="J6" s="14"/>
      <c r="K6" s="20"/>
      <c r="L6" s="104">
        <f>1-L5-L4</f>
        <v>9.9998640999999999E-2</v>
      </c>
      <c r="M6" s="102">
        <f>G6*D6+K6</f>
        <v>0.23619999999999997</v>
      </c>
      <c r="N6" s="39">
        <f t="shared" si="1"/>
        <v>9.9231551854752298E-2</v>
      </c>
      <c r="O6" s="14"/>
    </row>
    <row r="7" spans="2:15" x14ac:dyDescent="0.2">
      <c r="E7" s="4"/>
      <c r="I7" s="102">
        <f>SUM(I4:I6)</f>
        <v>2.38029130438</v>
      </c>
      <c r="J7" s="14"/>
      <c r="K7" s="102">
        <f>SUM(K4:K6)</f>
        <v>1.8288094422000193E-2</v>
      </c>
      <c r="L7" s="14"/>
      <c r="M7" s="102">
        <f>SUM(M4:M6)</f>
        <v>2.38029130438</v>
      </c>
      <c r="N7" s="105">
        <f>SUM(N4:N6)</f>
        <v>0.99999999999999989</v>
      </c>
      <c r="O7" s="14"/>
    </row>
    <row r="8" spans="2:15" ht="15" x14ac:dyDescent="0.25">
      <c r="I8" s="14"/>
      <c r="J8" s="14"/>
      <c r="K8" s="60">
        <f>K7*100</f>
        <v>1.8288094422000194</v>
      </c>
      <c r="L8" s="14"/>
      <c r="M8" s="106">
        <f>M7*100</f>
        <v>238.02913043800001</v>
      </c>
      <c r="N8" s="20"/>
      <c r="O8" s="14"/>
    </row>
    <row r="9" spans="2:15" x14ac:dyDescent="0.2">
      <c r="B9" s="2"/>
      <c r="C9" s="2" t="s">
        <v>72</v>
      </c>
      <c r="E9" s="5"/>
      <c r="F9" s="3"/>
    </row>
    <row r="10" spans="2:15" x14ac:dyDescent="0.2">
      <c r="B10" s="2" t="s">
        <v>71</v>
      </c>
      <c r="C10" s="6">
        <f>'2025'!K22</f>
        <v>236.19999999999996</v>
      </c>
      <c r="E10" s="5"/>
      <c r="F10" s="3"/>
      <c r="H10" s="14"/>
      <c r="I10" s="14"/>
      <c r="J10" s="107">
        <f>'2025'!N26</f>
        <v>0.8</v>
      </c>
      <c r="K10" s="107">
        <f>'2025'!O26</f>
        <v>0.4</v>
      </c>
      <c r="L10" s="107">
        <f>'2025'!N27</f>
        <v>0.9</v>
      </c>
      <c r="M10" s="107">
        <f>'2025'!O27</f>
        <v>0.8</v>
      </c>
      <c r="N10" s="14"/>
    </row>
    <row r="11" spans="2:15" x14ac:dyDescent="0.2">
      <c r="B11" s="20" t="s">
        <v>73</v>
      </c>
      <c r="C11" s="92">
        <v>3.8</v>
      </c>
      <c r="F11" s="3"/>
      <c r="H11" s="20"/>
      <c r="I11" s="108" t="s">
        <v>87</v>
      </c>
      <c r="J11" s="20" t="s">
        <v>89</v>
      </c>
      <c r="K11" s="20" t="s">
        <v>90</v>
      </c>
      <c r="L11" s="93" t="s">
        <v>91</v>
      </c>
      <c r="M11" s="93" t="s">
        <v>92</v>
      </c>
      <c r="N11" s="14"/>
    </row>
    <row r="12" spans="2:15" x14ac:dyDescent="0.2">
      <c r="B12" s="20" t="s">
        <v>74</v>
      </c>
      <c r="C12" s="92">
        <f>SUM(C10:C11)</f>
        <v>239.99999999999997</v>
      </c>
      <c r="F12" s="3"/>
      <c r="H12" s="20" t="s">
        <v>88</v>
      </c>
      <c r="I12" s="109">
        <f>C10</f>
        <v>236.19999999999996</v>
      </c>
      <c r="J12" s="102">
        <f>$I$12*J10</f>
        <v>188.95999999999998</v>
      </c>
      <c r="K12" s="102">
        <f t="shared" ref="K12:M12" si="2">$I$12*K10</f>
        <v>94.47999999999999</v>
      </c>
      <c r="L12" s="102">
        <f t="shared" si="2"/>
        <v>212.57999999999996</v>
      </c>
      <c r="M12" s="102">
        <f t="shared" si="2"/>
        <v>188.95999999999998</v>
      </c>
      <c r="N12" s="14"/>
    </row>
    <row r="13" spans="2:15" ht="15" x14ac:dyDescent="0.25">
      <c r="H13" s="20" t="s">
        <v>86</v>
      </c>
      <c r="I13" s="110">
        <f>I7*100</f>
        <v>238.02913043800001</v>
      </c>
      <c r="J13" s="106">
        <f>J12+J14</f>
        <v>190.78913043800003</v>
      </c>
      <c r="K13" s="106">
        <f t="shared" ref="K13:M13" si="3">K12+K14</f>
        <v>96.309130438000039</v>
      </c>
      <c r="L13" s="106">
        <f t="shared" si="3"/>
        <v>214.40913043800001</v>
      </c>
      <c r="M13" s="106">
        <f t="shared" si="3"/>
        <v>190.78913043800003</v>
      </c>
      <c r="N13" s="14"/>
    </row>
    <row r="14" spans="2:15" ht="15" x14ac:dyDescent="0.25">
      <c r="H14" s="20" t="s">
        <v>85</v>
      </c>
      <c r="I14" s="110">
        <f>I13-I12</f>
        <v>1.8291304380000497</v>
      </c>
      <c r="J14" s="102">
        <f>$I$14</f>
        <v>1.8291304380000497</v>
      </c>
      <c r="K14" s="102">
        <f t="shared" ref="K14:M14" si="4">$I$14</f>
        <v>1.8291304380000497</v>
      </c>
      <c r="L14" s="102">
        <f t="shared" si="4"/>
        <v>1.8291304380000497</v>
      </c>
      <c r="M14" s="102">
        <f t="shared" si="4"/>
        <v>1.8291304380000497</v>
      </c>
      <c r="N14" s="14"/>
    </row>
    <row r="15" spans="2:15" x14ac:dyDescent="0.2">
      <c r="H15" s="20"/>
      <c r="I15" s="111">
        <f>I13/I12</f>
        <v>1.0077439900000003</v>
      </c>
      <c r="J15" s="97">
        <f t="shared" ref="J15:M15" si="5">J13/J12</f>
        <v>1.0096799875000002</v>
      </c>
      <c r="K15" s="97">
        <f t="shared" si="5"/>
        <v>1.0193599750000004</v>
      </c>
      <c r="L15" s="97">
        <f t="shared" si="5"/>
        <v>1.0086044333333335</v>
      </c>
      <c r="M15" s="97">
        <f t="shared" si="5"/>
        <v>1.0096799875000002</v>
      </c>
      <c r="N15" s="14"/>
    </row>
    <row r="16" spans="2:15" x14ac:dyDescent="0.2">
      <c r="H16" s="14"/>
      <c r="I16" s="14" t="s">
        <v>93</v>
      </c>
      <c r="J16" s="112">
        <f>J13/$I$13</f>
        <v>0.8015368962904954</v>
      </c>
      <c r="K16" s="112">
        <f t="shared" ref="K16:M16" si="6">K13/$I$13</f>
        <v>0.40461068887148627</v>
      </c>
      <c r="L16" s="112">
        <f t="shared" si="6"/>
        <v>0.9007684481452477</v>
      </c>
      <c r="M16" s="112">
        <f t="shared" si="6"/>
        <v>0.8015368962904954</v>
      </c>
      <c r="N16" s="14"/>
    </row>
    <row r="17" spans="8:14" ht="28.5" x14ac:dyDescent="0.2">
      <c r="H17" s="14"/>
      <c r="I17" s="113" t="s">
        <v>94</v>
      </c>
      <c r="J17" s="97">
        <f>J13/$I$12</f>
        <v>0.8077439900000003</v>
      </c>
      <c r="K17" s="97">
        <f t="shared" ref="K17:M17" si="7">K13/$I$12</f>
        <v>0.40774399000000022</v>
      </c>
      <c r="L17" s="97">
        <f t="shared" si="7"/>
        <v>0.90774399000000017</v>
      </c>
      <c r="M17" s="97">
        <f t="shared" si="7"/>
        <v>0.8077439900000003</v>
      </c>
      <c r="N17" s="14"/>
    </row>
    <row r="18" spans="8:14" x14ac:dyDescent="0.2">
      <c r="H18" s="14"/>
      <c r="I18" s="14"/>
      <c r="J18" s="14"/>
      <c r="K18" s="14"/>
      <c r="L18" s="14"/>
      <c r="M18" s="14"/>
      <c r="N18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13</vt:i4>
      </vt:variant>
    </vt:vector>
  </HeadingPairs>
  <TitlesOfParts>
    <vt:vector size="13" baseType="lpstr">
      <vt:lpstr>2025</vt:lpstr>
      <vt:lpstr>רכיבים 2025</vt:lpstr>
      <vt:lpstr>גיליון3</vt:lpstr>
      <vt:lpstr>גיליון4</vt:lpstr>
      <vt:lpstr>גיליון5</vt:lpstr>
      <vt:lpstr>גיליון6</vt:lpstr>
      <vt:lpstr>גיליון7</vt:lpstr>
      <vt:lpstr>גיליון8</vt:lpstr>
      <vt:lpstr>גיליון9</vt:lpstr>
      <vt:lpstr>גיליון10</vt:lpstr>
      <vt:lpstr>גיליון11</vt:lpstr>
      <vt:lpstr>גיליון12</vt:lpstr>
      <vt:lpstr>גיליון13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LIRON</dc:creator>
  <cp:lastModifiedBy>Nataly - Israel Dairy Board</cp:lastModifiedBy>
  <dcterms:created xsi:type="dcterms:W3CDTF">2023-11-21T09:49:14Z</dcterms:created>
  <dcterms:modified xsi:type="dcterms:W3CDTF">2025-01-01T13:15:25Z</dcterms:modified>
</cp:coreProperties>
</file>